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Admin\Desktop\на завтра!!!!!!!!\"/>
    </mc:Choice>
  </mc:AlternateContent>
  <xr:revisionPtr revIDLastSave="0" documentId="13_ncr:1_{6344A857-BCD7-4334-87AC-6B3AF3CDB826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Лист1" sheetId="1" state="hidden" r:id="rId1"/>
    <sheet name="Кредитний калькулято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R36" i="2" l="1"/>
  <c r="R37" i="2"/>
  <c r="Q37" i="2"/>
  <c r="Q36" i="2"/>
  <c r="H36" i="2"/>
  <c r="I36" i="2"/>
  <c r="J36" i="2"/>
  <c r="K36" i="2"/>
  <c r="L36" i="2"/>
  <c r="M36" i="2"/>
  <c r="N36" i="2"/>
  <c r="O36" i="2"/>
  <c r="P36" i="2"/>
  <c r="H37" i="2"/>
  <c r="I37" i="2"/>
  <c r="J37" i="2"/>
  <c r="K37" i="2"/>
  <c r="L37" i="2"/>
  <c r="M37" i="2"/>
  <c r="N37" i="2"/>
  <c r="O37" i="2"/>
  <c r="P37" i="2"/>
  <c r="H38" i="2"/>
  <c r="I38" i="2"/>
  <c r="J38" i="2"/>
  <c r="K38" i="2"/>
  <c r="L38" i="2"/>
  <c r="M38" i="2"/>
  <c r="N38" i="2"/>
  <c r="O38" i="2"/>
  <c r="P38" i="2"/>
  <c r="G37" i="2"/>
  <c r="G38" i="2"/>
  <c r="G36" i="2"/>
  <c r="A38" i="2"/>
  <c r="A37" i="2"/>
  <c r="A36" i="2"/>
  <c r="A35" i="2"/>
  <c r="Q40" i="2"/>
  <c r="R40" i="2"/>
  <c r="R39" i="2"/>
  <c r="Q39" i="2"/>
  <c r="G40" i="2"/>
  <c r="H40" i="2"/>
  <c r="I40" i="2"/>
  <c r="J40" i="2"/>
  <c r="K40" i="2"/>
  <c r="L40" i="2"/>
  <c r="M40" i="2"/>
  <c r="N40" i="2"/>
  <c r="O40" i="2"/>
  <c r="P40" i="2"/>
  <c r="G41" i="2"/>
  <c r="H41" i="2"/>
  <c r="I41" i="2"/>
  <c r="J41" i="2"/>
  <c r="K41" i="2"/>
  <c r="L41" i="2"/>
  <c r="M41" i="2"/>
  <c r="N41" i="2"/>
  <c r="O41" i="2"/>
  <c r="P41" i="2"/>
  <c r="H39" i="2"/>
  <c r="I39" i="2"/>
  <c r="J39" i="2"/>
  <c r="K39" i="2"/>
  <c r="L39" i="2"/>
  <c r="M39" i="2"/>
  <c r="N39" i="2"/>
  <c r="O39" i="2"/>
  <c r="P39" i="2"/>
  <c r="G39" i="2"/>
  <c r="A40" i="2"/>
  <c r="A39" i="2"/>
  <c r="A43" i="2"/>
  <c r="A42" i="2"/>
  <c r="A41" i="2"/>
  <c r="R43" i="2"/>
  <c r="Q43" i="2"/>
  <c r="R42" i="2"/>
  <c r="Q42" i="2"/>
  <c r="G42" i="2"/>
  <c r="H42" i="2"/>
  <c r="I42" i="2"/>
  <c r="J42" i="2"/>
  <c r="K42" i="2"/>
  <c r="L42" i="2"/>
  <c r="M42" i="2"/>
  <c r="N42" i="2"/>
  <c r="O42" i="2"/>
  <c r="P42" i="2"/>
  <c r="G43" i="2"/>
  <c r="H43" i="2"/>
  <c r="I43" i="2"/>
  <c r="J43" i="2"/>
  <c r="K43" i="2"/>
  <c r="L43" i="2"/>
  <c r="M43" i="2"/>
  <c r="N43" i="2"/>
  <c r="O43" i="2"/>
  <c r="P43" i="2"/>
  <c r="G44" i="2"/>
  <c r="H44" i="2"/>
  <c r="I44" i="2"/>
  <c r="J44" i="2"/>
  <c r="K44" i="2"/>
  <c r="L44" i="2"/>
  <c r="M44" i="2"/>
  <c r="N44" i="2"/>
  <c r="O44" i="2"/>
  <c r="P44" i="2"/>
  <c r="B44" i="2"/>
  <c r="A44" i="2"/>
  <c r="E31" i="2" l="1"/>
  <c r="D31" i="2"/>
  <c r="C4" i="1"/>
  <c r="C3" i="1"/>
  <c r="I13" i="1" s="1"/>
  <c r="J13" i="1" s="1"/>
  <c r="K13" i="1" s="1"/>
  <c r="L13" i="1" s="1"/>
  <c r="M13" i="1" s="1"/>
  <c r="N13" i="1" s="1"/>
  <c r="O13" i="1" s="1"/>
  <c r="P13" i="1" s="1"/>
  <c r="Q13" i="1" s="1"/>
  <c r="R13" i="1" s="1"/>
  <c r="S13" i="1" s="1"/>
  <c r="T13" i="1" s="1"/>
  <c r="U13" i="1" s="1"/>
  <c r="V13" i="1" s="1"/>
  <c r="W13" i="1" s="1"/>
  <c r="X13" i="1" s="1"/>
  <c r="Y13" i="1" s="1"/>
  <c r="Z13" i="1" s="1"/>
  <c r="AA13" i="1" s="1"/>
  <c r="AB13" i="1" s="1"/>
  <c r="AC13" i="1" s="1"/>
  <c r="AD13" i="1" s="1"/>
  <c r="AE13" i="1" s="1"/>
  <c r="AH13" i="1" s="1"/>
  <c r="C2" i="1"/>
  <c r="H2" i="1" s="1"/>
  <c r="G14" i="1" s="1"/>
  <c r="E14" i="2"/>
  <c r="E15" i="2" s="1"/>
  <c r="E16" i="2" s="1"/>
  <c r="E8" i="2"/>
  <c r="B32" i="2" s="1"/>
  <c r="B33" i="2" s="1"/>
  <c r="B34" i="2" s="1"/>
  <c r="B35" i="2" s="1"/>
  <c r="B36" i="2" s="1"/>
  <c r="B37" i="2" l="1"/>
  <c r="C36" i="2"/>
  <c r="B31" i="2"/>
  <c r="C32" i="2" s="1"/>
  <c r="C34" i="2"/>
  <c r="C33" i="2"/>
  <c r="J3" i="1"/>
  <c r="E19" i="2" s="1"/>
  <c r="H3" i="1"/>
  <c r="D10" i="1"/>
  <c r="E10" i="1" s="1"/>
  <c r="B11" i="1"/>
  <c r="C6" i="1"/>
  <c r="C5" i="1"/>
  <c r="C11" i="1" s="1"/>
  <c r="B38" i="2" l="1"/>
  <c r="C37" i="2"/>
  <c r="C35" i="2"/>
  <c r="F10" i="1"/>
  <c r="G10" i="1" s="1"/>
  <c r="D11" i="1"/>
  <c r="E11" i="1" s="1"/>
  <c r="C38" i="2" l="1"/>
  <c r="B39" i="2"/>
  <c r="F11" i="1"/>
  <c r="G11" i="1" s="1"/>
  <c r="H10" i="1"/>
  <c r="B40" i="2" l="1"/>
  <c r="C39" i="2"/>
  <c r="I10" i="1"/>
  <c r="H11" i="1"/>
  <c r="C40" i="2" l="1"/>
  <c r="B41" i="2"/>
  <c r="B42" i="2" s="1"/>
  <c r="J10" i="1"/>
  <c r="I11" i="1"/>
  <c r="C42" i="2" l="1"/>
  <c r="B43" i="2"/>
  <c r="C43" i="2" s="1"/>
  <c r="C41" i="2"/>
  <c r="K10" i="1"/>
  <c r="J11" i="1"/>
  <c r="C44" i="2" l="1"/>
  <c r="L10" i="1"/>
  <c r="K11" i="1"/>
  <c r="M10" i="1" l="1"/>
  <c r="L11" i="1"/>
  <c r="N10" i="1" l="1"/>
  <c r="M11" i="1"/>
  <c r="O10" i="1" l="1"/>
  <c r="N11" i="1"/>
  <c r="P10" i="1" l="1"/>
  <c r="O11" i="1"/>
  <c r="Q10" i="1" l="1"/>
  <c r="P11" i="1"/>
  <c r="R10" i="1" l="1"/>
  <c r="Q11" i="1"/>
  <c r="S10" i="1" l="1"/>
  <c r="R11" i="1"/>
  <c r="T10" i="1" l="1"/>
  <c r="S11" i="1"/>
  <c r="U10" i="1" l="1"/>
  <c r="T11" i="1"/>
  <c r="V10" i="1" l="1"/>
  <c r="U11" i="1"/>
  <c r="W10" i="1" l="1"/>
  <c r="V11" i="1"/>
  <c r="W11" i="1" l="1"/>
  <c r="X10" i="1"/>
  <c r="Y10" i="1" l="1"/>
  <c r="X11" i="1"/>
  <c r="Y11" i="1" l="1"/>
  <c r="Z10" i="1"/>
  <c r="AA10" i="1" l="1"/>
  <c r="AA11" i="1" s="1"/>
  <c r="Z11" i="1"/>
  <c r="C7" i="1" l="1"/>
  <c r="H4" i="1" s="1"/>
  <c r="H5" i="1" l="1"/>
  <c r="E18" i="2"/>
  <c r="Q38" i="2" s="1"/>
  <c r="Q41" i="2" l="1"/>
  <c r="Q35" i="2"/>
  <c r="Q44" i="2"/>
  <c r="E17" i="2"/>
  <c r="F32" i="2" s="1"/>
  <c r="H6" i="1"/>
  <c r="E20" i="2"/>
  <c r="D32" i="2" s="1"/>
  <c r="H14" i="1"/>
  <c r="I14" i="1" s="1"/>
  <c r="D33" i="2" l="1"/>
  <c r="D34" i="2" s="1"/>
  <c r="D35" i="2" s="1"/>
  <c r="E32" i="2"/>
  <c r="J14" i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Z14" i="1" s="1"/>
  <c r="AA14" i="1" s="1"/>
  <c r="AB14" i="1" s="1"/>
  <c r="AC14" i="1" s="1"/>
  <c r="AD14" i="1" s="1"/>
  <c r="AE14" i="1" s="1"/>
  <c r="D36" i="2" l="1"/>
  <c r="R35" i="2"/>
  <c r="T32" i="2"/>
  <c r="F33" i="2" s="1"/>
  <c r="H7" i="1"/>
  <c r="E33" i="2" l="1"/>
  <c r="T33" i="2" l="1"/>
  <c r="F34" i="2" s="1"/>
  <c r="D37" i="2"/>
  <c r="D38" i="2" l="1"/>
  <c r="R38" i="2" s="1"/>
  <c r="E34" i="2"/>
  <c r="D39" i="2" l="1"/>
  <c r="D40" i="2" s="1"/>
  <c r="T34" i="2"/>
  <c r="F35" i="2" s="1"/>
  <c r="E35" i="2" s="1"/>
  <c r="T35" i="2" l="1"/>
  <c r="U34" i="2"/>
  <c r="D41" i="2"/>
  <c r="D42" i="2" s="1"/>
  <c r="D43" i="2" s="1"/>
  <c r="F36" i="2" l="1"/>
  <c r="E36" i="2" s="1"/>
  <c r="T36" i="2" s="1"/>
  <c r="D44" i="2"/>
  <c r="R44" i="2" s="1"/>
  <c r="R41" i="2"/>
  <c r="F37" i="2" l="1"/>
  <c r="E21" i="2"/>
  <c r="E37" i="2" l="1"/>
  <c r="T37" i="2" l="1"/>
  <c r="F38" i="2" s="1"/>
  <c r="E38" i="2" s="1"/>
  <c r="T38" i="2" l="1"/>
  <c r="U37" i="2"/>
  <c r="F39" i="2" l="1"/>
  <c r="E39" i="2" s="1"/>
  <c r="T39" i="2" s="1"/>
  <c r="F40" i="2" l="1"/>
  <c r="E40" i="2" s="1"/>
  <c r="T40" i="2" s="1"/>
  <c r="F41" i="2" l="1"/>
  <c r="E41" i="2" s="1"/>
  <c r="T41" i="2" s="1"/>
  <c r="F42" i="2" s="1"/>
  <c r="E42" i="2" s="1"/>
  <c r="U40" i="2"/>
  <c r="T42" i="2" l="1"/>
  <c r="F43" i="2" l="1"/>
  <c r="E43" i="2" l="1"/>
  <c r="F44" i="2"/>
  <c r="E44" i="2" l="1"/>
  <c r="T43" i="2"/>
  <c r="U43" i="2" s="1"/>
</calcChain>
</file>

<file path=xl/sharedStrings.xml><?xml version="1.0" encoding="utf-8"?>
<sst xmlns="http://schemas.openxmlformats.org/spreadsheetml/2006/main" count="68" uniqueCount="54">
  <si>
    <t>Для клієнта</t>
  </si>
  <si>
    <t>Реальний</t>
  </si>
  <si>
    <t>Сума кредиту</t>
  </si>
  <si>
    <t>Срок кредиту</t>
  </si>
  <si>
    <t>Відсоток в місяць</t>
  </si>
  <si>
    <t>Платіж в місяць</t>
  </si>
  <si>
    <t>Переплата</t>
  </si>
  <si>
    <t>Реальна ставка</t>
  </si>
  <si>
    <t xml:space="preserve">Відсоткова ставка </t>
  </si>
  <si>
    <t>Кредитний калькулятор</t>
  </si>
  <si>
    <t>Дата отримання кредиту</t>
  </si>
  <si>
    <t>Сума кредиту, грн.</t>
  </si>
  <si>
    <t>Строк, на який надається кредит, міс</t>
  </si>
  <si>
    <t>&lt;--- Оберіть термін кредиту</t>
  </si>
  <si>
    <t>Плановий щомісячний платіж</t>
  </si>
  <si>
    <t xml:space="preserve">Процентна ставка, % в день </t>
  </si>
  <si>
    <t>Реальна річна процентна ставка, % річних</t>
  </si>
  <si>
    <t>Строк, на який надається кредит, дні</t>
  </si>
  <si>
    <t xml:space="preserve">Кынцева дата кредиту </t>
  </si>
  <si>
    <t>Щомісячний ануїтетний платіж, грн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</si>
  <si>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</si>
  <si>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</si>
  <si>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</si>
  <si>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 сума платежу за розрахунковий період, грн</t>
  </si>
  <si>
    <t>Види платежів за кредитом</t>
  </si>
  <si>
    <t>Реальна річна процентна ставка, %</t>
  </si>
  <si>
    <t>Загальна вартість кредиту, грн</t>
  </si>
  <si>
    <t>сума кредиту за договором/ погашення суми кредиту</t>
  </si>
  <si>
    <t>проценти за користування кредитом</t>
  </si>
  <si>
    <t>платежі за додаткові та супутні послуги</t>
  </si>
  <si>
    <t>кредитодавця</t>
  </si>
  <si>
    <t>кредитного посередника (за наявності)</t>
  </si>
  <si>
    <t>третіх осіб</t>
  </si>
  <si>
    <t>за обслуговування кредитної заборгованості</t>
  </si>
  <si>
    <t>комісія за надання кредиту</t>
  </si>
  <si>
    <t>інші послуги кредитодавця-1</t>
  </si>
  <si>
    <t>комісійний збір</t>
  </si>
  <si>
    <t>інша плата за послуги кредитного посередника-1</t>
  </si>
  <si>
    <t>за розрахунково-касове обслуговування</t>
  </si>
  <si>
    <t>послуги нотаріуса</t>
  </si>
  <si>
    <t>послуги оцінювача</t>
  </si>
  <si>
    <t>послуги страховика</t>
  </si>
  <si>
    <t>інші послуги третіх осіб-1</t>
  </si>
  <si>
    <t>Х</t>
  </si>
  <si>
    <t>Залишок тіла</t>
  </si>
  <si>
    <t>Сума платежу за розрахунковий період, грн</t>
  </si>
  <si>
    <t>Орієнтовна сума переплати за весь термін кредиту, грн</t>
  </si>
  <si>
    <t>Орієнтовна переплата за весь термін кредиту</t>
  </si>
  <si>
    <t>Орієнтовна відсоткова ставка в місяць, % в міс</t>
  </si>
  <si>
    <t>Магазин шин</t>
  </si>
  <si>
    <t>Перший платіж, грн.</t>
  </si>
  <si>
    <t>&lt;---  Вкажіть перший платіж (при бажанні)</t>
  </si>
  <si>
    <t>Ціна шин, грн.</t>
  </si>
  <si>
    <t>&lt;---  Вкажіть ціну товару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</si>
</sst>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₴&quot;;[Red]\-#,##0.00\ &quot;₴&quot;"/>
    <numFmt numFmtId="164" formatCode="0.00000%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14" fontId="5" fillId="0" borderId="0" xfId="0" applyNumberFormat="1" applyFont="1"/>
    <xf numFmtId="164" fontId="5" fillId="0" borderId="0" xfId="0" applyNumberFormat="1" applyFont="1"/>
    <xf numFmtId="8" fontId="5" fillId="0" borderId="0" xfId="0" applyNumberFormat="1" applyFont="1"/>
    <xf numFmtId="0" fontId="5" fillId="0" borderId="9" xfId="0" applyFont="1" applyBorder="1"/>
    <xf numFmtId="0" fontId="5" fillId="0" borderId="1" xfId="0" applyFont="1" applyBorder="1"/>
    <xf numFmtId="0" fontId="5" fillId="0" borderId="2" xfId="0" applyFont="1" applyBorder="1"/>
    <xf numFmtId="0" fontId="5" fillId="0" borderId="10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7" xfId="0" applyFont="1" applyBorder="1"/>
    <xf numFmtId="0" fontId="5" fillId="0" borderId="8" xfId="0" applyFont="1" applyBorder="1"/>
    <xf numFmtId="8" fontId="6" fillId="0" borderId="0" xfId="0" applyNumberFormat="1" applyFont="1"/>
    <xf numFmtId="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7" fillId="0" borderId="11" xfId="0" applyFont="1" applyBorder="1" applyAlignment="1" applyProtection="1">
      <alignment horizontal="left"/>
      <protection hidden="1"/>
    </xf>
    <xf numFmtId="0" fontId="7" fillId="0" borderId="12" xfId="0" applyFont="1" applyBorder="1" applyAlignment="1" applyProtection="1">
      <alignment horizontal="left"/>
      <protection hidden="1"/>
    </xf>
    <xf numFmtId="0" fontId="7" fillId="0" borderId="13" xfId="0" applyFont="1" applyBorder="1" applyAlignment="1" applyProtection="1">
      <alignment horizontal="left"/>
      <protection hidden="1"/>
    </xf>
    <xf numFmtId="4" fontId="0" fillId="0" borderId="0" xfId="0" applyNumberFormat="1" applyProtection="1">
      <protection hidden="1"/>
    </xf>
    <xf numFmtId="0" fontId="0" fillId="0" borderId="0" xfId="0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0" fillId="2" borderId="0" xfId="0" applyFill="1" applyAlignment="1" applyProtection="1">
      <alignment horizontal="left" vertical="center"/>
      <protection hidden="1"/>
    </xf>
    <xf numFmtId="10" fontId="0" fillId="0" borderId="0" xfId="0" applyNumberFormat="1" applyProtection="1">
      <protection hidden="1"/>
    </xf>
    <xf numFmtId="10" fontId="0" fillId="0" borderId="22" xfId="0" applyNumberFormat="1" applyBorder="1" applyProtection="1">
      <protection hidden="1"/>
    </xf>
    <xf numFmtId="10" fontId="0" fillId="0" borderId="23" xfId="0" applyNumberFormat="1" applyBorder="1" applyProtection="1">
      <protection hidden="1"/>
    </xf>
    <xf numFmtId="0" fontId="0" fillId="0" borderId="24" xfId="0" applyBorder="1" applyProtection="1">
      <protection hidden="1"/>
    </xf>
    <xf numFmtId="8" fontId="0" fillId="0" borderId="21" xfId="0" applyNumberFormat="1" applyBorder="1" applyProtection="1">
      <protection hidden="1"/>
    </xf>
    <xf numFmtId="4" fontId="0" fillId="0" borderId="21" xfId="0" applyNumberFormat="1" applyBorder="1" applyProtection="1"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14" fontId="4" fillId="0" borderId="18" xfId="0" applyNumberFormat="1" applyFont="1" applyBorder="1" applyAlignment="1" applyProtection="1">
      <alignment horizontal="center" vertical="center" wrapText="1"/>
      <protection hidden="1"/>
    </xf>
    <xf numFmtId="4" fontId="4" fillId="0" borderId="18" xfId="0" applyNumberFormat="1" applyFont="1" applyBorder="1" applyAlignment="1" applyProtection="1">
      <alignment horizontal="center" vertical="center" wrapText="1"/>
      <protection hidden="1"/>
    </xf>
    <xf numFmtId="165" fontId="4" fillId="0" borderId="18" xfId="0" applyNumberFormat="1" applyFont="1" applyBorder="1" applyAlignment="1" applyProtection="1">
      <alignment horizontal="center" vertical="center" wrapText="1"/>
      <protection hidden="1"/>
    </xf>
    <xf numFmtId="4" fontId="5" fillId="0" borderId="0" xfId="0" applyNumberFormat="1" applyFont="1" applyProtection="1"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85725</xdr:rowOff>
    </xdr:from>
    <xdr:to>
      <xdr:col>2</xdr:col>
      <xdr:colOff>627871</xdr:colOff>
      <xdr:row>5</xdr:row>
      <xdr:rowOff>200025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D04CE2F0-E590-487A-94F5-47CFFAB05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6225"/>
          <a:ext cx="2485246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"/>
  <sheetViews>
    <sheetView topLeftCell="B1" workbookViewId="0">
      <selection activeCell="F18" sqref="F18"/>
    </sheetView>
  </sheetViews>
  <sheetFormatPr defaultRowHeight="15" x14ac:dyDescent="0.25"/>
  <cols>
    <col min="1" max="1" width="9.140625" style="1"/>
    <col min="2" max="2" width="16.85546875" style="1" bestFit="1" customWidth="1"/>
    <col min="3" max="6" width="9.140625" style="1"/>
    <col min="7" max="7" width="16.85546875" style="1" bestFit="1" customWidth="1"/>
    <col min="8" max="8" width="28.42578125" style="1" customWidth="1"/>
    <col min="9" max="9" width="9.140625" style="1"/>
    <col min="10" max="10" width="10.140625" style="1" bestFit="1" customWidth="1"/>
    <col min="11" max="16384" width="9.140625" style="1"/>
  </cols>
  <sheetData>
    <row r="1" spans="1:34" x14ac:dyDescent="0.25">
      <c r="B1" s="16" t="s">
        <v>0</v>
      </c>
      <c r="C1" s="16"/>
      <c r="D1" s="16"/>
      <c r="E1" s="16"/>
      <c r="G1" s="16" t="s">
        <v>1</v>
      </c>
      <c r="H1" s="16"/>
    </row>
    <row r="2" spans="1:34" x14ac:dyDescent="0.25">
      <c r="B2" s="1" t="s">
        <v>2</v>
      </c>
      <c r="C2" s="20">
        <f>'Кредитний калькулятор'!E11</f>
        <v>25000</v>
      </c>
      <c r="D2" s="16"/>
      <c r="E2" s="16"/>
      <c r="G2" s="1" t="s">
        <v>2</v>
      </c>
      <c r="H2" s="1">
        <f>C2</f>
        <v>25000</v>
      </c>
      <c r="J2" s="1" t="s">
        <v>18</v>
      </c>
    </row>
    <row r="3" spans="1:34" x14ac:dyDescent="0.25">
      <c r="B3" s="1" t="s">
        <v>3</v>
      </c>
      <c r="C3" s="16">
        <f>'Кредитний калькулятор'!E12</f>
        <v>12</v>
      </c>
      <c r="D3" s="16"/>
      <c r="E3" s="16"/>
      <c r="G3" s="1" t="s">
        <v>3</v>
      </c>
      <c r="H3" s="1">
        <f>C3</f>
        <v>12</v>
      </c>
      <c r="J3" s="2">
        <f ca="1">EDATE('Кредитний калькулятор'!E8,'Кредитний калькулятор'!E12)</f>
        <v>45742</v>
      </c>
    </row>
    <row r="4" spans="1:34" x14ac:dyDescent="0.25">
      <c r="B4" s="1" t="s">
        <v>4</v>
      </c>
      <c r="C4" s="21">
        <f>'Кредитний калькулятор'!E13</f>
        <v>3.5000000000000003E-2</v>
      </c>
      <c r="D4" s="21"/>
      <c r="E4" s="21"/>
      <c r="G4" s="1" t="s">
        <v>8</v>
      </c>
      <c r="H4" s="3">
        <f>C7</f>
        <v>0.70264892257007894</v>
      </c>
    </row>
    <row r="5" spans="1:34" x14ac:dyDescent="0.25">
      <c r="B5" s="1" t="s">
        <v>5</v>
      </c>
      <c r="C5" s="16">
        <f>(C2*(C4*C3)+C2)/C3</f>
        <v>2958.3333333333335</v>
      </c>
      <c r="D5" s="16"/>
      <c r="E5" s="16"/>
      <c r="G5" s="1" t="s">
        <v>5</v>
      </c>
      <c r="H5" s="13">
        <f>PMT(H4/12,H3,H2)</f>
        <v>-2958.3333333333312</v>
      </c>
    </row>
    <row r="6" spans="1:34" x14ac:dyDescent="0.25">
      <c r="B6" s="1" t="s">
        <v>6</v>
      </c>
      <c r="C6" s="16">
        <f>(C4*C3)*C2</f>
        <v>10500.000000000002</v>
      </c>
      <c r="D6" s="16"/>
      <c r="E6" s="16"/>
      <c r="G6" s="1" t="s">
        <v>6</v>
      </c>
      <c r="H6" s="4">
        <f>H5*-1*H3-H2</f>
        <v>10499.999999999971</v>
      </c>
    </row>
    <row r="7" spans="1:34" x14ac:dyDescent="0.25">
      <c r="B7" s="1" t="s">
        <v>7</v>
      </c>
      <c r="C7" s="19">
        <f>IRR(B11:AA11)*12</f>
        <v>0.70264892257007894</v>
      </c>
      <c r="D7" s="19"/>
      <c r="E7" s="19"/>
      <c r="G7" s="1" t="s">
        <v>7</v>
      </c>
      <c r="H7" s="3">
        <f>IRR(G14:J14)*12</f>
        <v>-4.5754510857277459</v>
      </c>
    </row>
    <row r="9" spans="1:34" ht="15.75" thickBot="1" x14ac:dyDescent="0.3"/>
    <row r="10" spans="1:34" x14ac:dyDescent="0.25">
      <c r="A10" s="5"/>
      <c r="B10" s="6"/>
      <c r="C10" s="7">
        <v>1</v>
      </c>
      <c r="D10" s="7">
        <f>IF(C10=$C$3,"",C10+1)</f>
        <v>2</v>
      </c>
      <c r="E10" s="7">
        <f>IF(D10=$C$3,"",D10+1)</f>
        <v>3</v>
      </c>
      <c r="F10" s="7">
        <f>IF(E10=$C$3,"",E10+1)</f>
        <v>4</v>
      </c>
      <c r="G10" s="7">
        <f>IF(F10="","",IF(F10=$C$3,"",F10+1))</f>
        <v>5</v>
      </c>
      <c r="H10" s="7">
        <f t="shared" ref="H10:AA10" si="0">IF(G10="","",IF(G10=$C$3,"",G10+1))</f>
        <v>6</v>
      </c>
      <c r="I10" s="7">
        <f t="shared" si="0"/>
        <v>7</v>
      </c>
      <c r="J10" s="7">
        <f t="shared" si="0"/>
        <v>8</v>
      </c>
      <c r="K10" s="7">
        <f t="shared" si="0"/>
        <v>9</v>
      </c>
      <c r="L10" s="7">
        <f t="shared" si="0"/>
        <v>10</v>
      </c>
      <c r="M10" s="7">
        <f t="shared" si="0"/>
        <v>11</v>
      </c>
      <c r="N10" s="7">
        <f t="shared" si="0"/>
        <v>12</v>
      </c>
      <c r="O10" s="7" t="str">
        <f t="shared" si="0"/>
        <v/>
      </c>
      <c r="P10" s="7" t="str">
        <f t="shared" si="0"/>
        <v/>
      </c>
      <c r="Q10" s="7" t="str">
        <f t="shared" si="0"/>
        <v/>
      </c>
      <c r="R10" s="7" t="str">
        <f t="shared" si="0"/>
        <v/>
      </c>
      <c r="S10" s="7" t="str">
        <f t="shared" si="0"/>
        <v/>
      </c>
      <c r="T10" s="7" t="str">
        <f t="shared" si="0"/>
        <v/>
      </c>
      <c r="U10" s="7" t="str">
        <f t="shared" si="0"/>
        <v/>
      </c>
      <c r="V10" s="7" t="str">
        <f t="shared" si="0"/>
        <v/>
      </c>
      <c r="W10" s="7" t="str">
        <f t="shared" si="0"/>
        <v/>
      </c>
      <c r="X10" s="7" t="str">
        <f t="shared" si="0"/>
        <v/>
      </c>
      <c r="Y10" s="7" t="str">
        <f t="shared" si="0"/>
        <v/>
      </c>
      <c r="Z10" s="7" t="str">
        <f t="shared" si="0"/>
        <v/>
      </c>
      <c r="AA10" s="7" t="str">
        <f t="shared" si="0"/>
        <v/>
      </c>
      <c r="AB10" s="17"/>
    </row>
    <row r="11" spans="1:34" ht="15.75" thickBot="1" x14ac:dyDescent="0.3">
      <c r="A11" s="8"/>
      <c r="B11" s="9">
        <f>C2*-1</f>
        <v>-25000</v>
      </c>
      <c r="C11" s="10">
        <f>C5</f>
        <v>2958.3333333333335</v>
      </c>
      <c r="D11" s="10">
        <f>IF(D10="","",C11)</f>
        <v>2958.3333333333335</v>
      </c>
      <c r="E11" s="10">
        <f t="shared" ref="E11:AA11" si="1">IF(E10="","",D11)</f>
        <v>2958.3333333333335</v>
      </c>
      <c r="F11" s="10">
        <f t="shared" si="1"/>
        <v>2958.3333333333335</v>
      </c>
      <c r="G11" s="10">
        <f t="shared" si="1"/>
        <v>2958.3333333333335</v>
      </c>
      <c r="H11" s="10">
        <f t="shared" si="1"/>
        <v>2958.3333333333335</v>
      </c>
      <c r="I11" s="10">
        <f t="shared" si="1"/>
        <v>2958.3333333333335</v>
      </c>
      <c r="J11" s="10">
        <f t="shared" si="1"/>
        <v>2958.3333333333335</v>
      </c>
      <c r="K11" s="10">
        <f t="shared" si="1"/>
        <v>2958.3333333333335</v>
      </c>
      <c r="L11" s="10">
        <f t="shared" si="1"/>
        <v>2958.3333333333335</v>
      </c>
      <c r="M11" s="10">
        <f t="shared" si="1"/>
        <v>2958.3333333333335</v>
      </c>
      <c r="N11" s="10">
        <f t="shared" si="1"/>
        <v>2958.3333333333335</v>
      </c>
      <c r="O11" s="10" t="str">
        <f t="shared" si="1"/>
        <v/>
      </c>
      <c r="P11" s="10" t="str">
        <f t="shared" si="1"/>
        <v/>
      </c>
      <c r="Q11" s="10" t="str">
        <f t="shared" si="1"/>
        <v/>
      </c>
      <c r="R11" s="10" t="str">
        <f t="shared" si="1"/>
        <v/>
      </c>
      <c r="S11" s="10" t="str">
        <f t="shared" si="1"/>
        <v/>
      </c>
      <c r="T11" s="10" t="str">
        <f t="shared" si="1"/>
        <v/>
      </c>
      <c r="U11" s="10" t="str">
        <f t="shared" si="1"/>
        <v/>
      </c>
      <c r="V11" s="10" t="str">
        <f t="shared" si="1"/>
        <v/>
      </c>
      <c r="W11" s="10" t="str">
        <f t="shared" si="1"/>
        <v/>
      </c>
      <c r="X11" s="10" t="str">
        <f t="shared" si="1"/>
        <v/>
      </c>
      <c r="Y11" s="10" t="str">
        <f t="shared" si="1"/>
        <v/>
      </c>
      <c r="Z11" s="10" t="str">
        <f t="shared" si="1"/>
        <v/>
      </c>
      <c r="AA11" s="10" t="str">
        <f t="shared" si="1"/>
        <v/>
      </c>
      <c r="AB11" s="18"/>
    </row>
    <row r="12" spans="1:34" ht="15.75" thickBot="1" x14ac:dyDescent="0.3"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34" x14ac:dyDescent="0.25">
      <c r="G13" s="6"/>
      <c r="H13" s="7">
        <v>1</v>
      </c>
      <c r="I13" s="7">
        <f t="shared" ref="I13:AE13" si="2">IF(H13="","",IF(H13=$C$3,"",H13+1))</f>
        <v>2</v>
      </c>
      <c r="J13" s="7">
        <f t="shared" si="2"/>
        <v>3</v>
      </c>
      <c r="K13" s="7">
        <f t="shared" si="2"/>
        <v>4</v>
      </c>
      <c r="L13" s="7">
        <f t="shared" si="2"/>
        <v>5</v>
      </c>
      <c r="M13" s="7">
        <f t="shared" si="2"/>
        <v>6</v>
      </c>
      <c r="N13" s="7">
        <f t="shared" si="2"/>
        <v>7</v>
      </c>
      <c r="O13" s="7">
        <f t="shared" si="2"/>
        <v>8</v>
      </c>
      <c r="P13" s="7">
        <f t="shared" si="2"/>
        <v>9</v>
      </c>
      <c r="Q13" s="7">
        <f t="shared" si="2"/>
        <v>10</v>
      </c>
      <c r="R13" s="7">
        <f t="shared" si="2"/>
        <v>11</v>
      </c>
      <c r="S13" s="7">
        <f t="shared" si="2"/>
        <v>12</v>
      </c>
      <c r="T13" s="7" t="str">
        <f t="shared" si="2"/>
        <v/>
      </c>
      <c r="U13" s="7" t="str">
        <f t="shared" si="2"/>
        <v/>
      </c>
      <c r="V13" s="7" t="str">
        <f t="shared" si="2"/>
        <v/>
      </c>
      <c r="W13" s="7" t="str">
        <f t="shared" si="2"/>
        <v/>
      </c>
      <c r="X13" s="7" t="str">
        <f t="shared" si="2"/>
        <v/>
      </c>
      <c r="Y13" s="7" t="str">
        <f t="shared" si="2"/>
        <v/>
      </c>
      <c r="Z13" s="7" t="str">
        <f t="shared" si="2"/>
        <v/>
      </c>
      <c r="AA13" s="7" t="str">
        <f t="shared" si="2"/>
        <v/>
      </c>
      <c r="AB13" s="7" t="str">
        <f t="shared" si="2"/>
        <v/>
      </c>
      <c r="AC13" s="7" t="str">
        <f t="shared" si="2"/>
        <v/>
      </c>
      <c r="AD13" s="7" t="str">
        <f t="shared" si="2"/>
        <v/>
      </c>
      <c r="AE13" s="7" t="str">
        <f t="shared" si="2"/>
        <v/>
      </c>
      <c r="AF13" s="7"/>
      <c r="AG13" s="17"/>
      <c r="AH13" s="1" t="str">
        <f>IF(AG13="","",IF(AG13=$C$3,"",AG13+1))</f>
        <v/>
      </c>
    </row>
    <row r="14" spans="1:34" ht="15.75" thickBot="1" x14ac:dyDescent="0.3">
      <c r="G14" s="9">
        <f>H2*-1</f>
        <v>-25000</v>
      </c>
      <c r="H14" s="10">
        <f>IF(H13="","",H5*-1)</f>
        <v>2958.3333333333312</v>
      </c>
      <c r="I14" s="10">
        <f>IF(I13="","",H14)</f>
        <v>2958.3333333333312</v>
      </c>
      <c r="J14" s="10">
        <f t="shared" ref="J14:AA14" si="3">IF(J13="","",I14)</f>
        <v>2958.3333333333312</v>
      </c>
      <c r="K14" s="10">
        <f t="shared" si="3"/>
        <v>2958.3333333333312</v>
      </c>
      <c r="L14" s="10">
        <f t="shared" si="3"/>
        <v>2958.3333333333312</v>
      </c>
      <c r="M14" s="10">
        <f t="shared" si="3"/>
        <v>2958.3333333333312</v>
      </c>
      <c r="N14" s="10">
        <f t="shared" si="3"/>
        <v>2958.3333333333312</v>
      </c>
      <c r="O14" s="10">
        <f t="shared" si="3"/>
        <v>2958.3333333333312</v>
      </c>
      <c r="P14" s="10">
        <f t="shared" si="3"/>
        <v>2958.3333333333312</v>
      </c>
      <c r="Q14" s="10">
        <f t="shared" si="3"/>
        <v>2958.3333333333312</v>
      </c>
      <c r="R14" s="10">
        <f t="shared" si="3"/>
        <v>2958.3333333333312</v>
      </c>
      <c r="S14" s="10">
        <f t="shared" si="3"/>
        <v>2958.3333333333312</v>
      </c>
      <c r="T14" s="10" t="str">
        <f t="shared" si="3"/>
        <v/>
      </c>
      <c r="U14" s="10" t="str">
        <f t="shared" si="3"/>
        <v/>
      </c>
      <c r="V14" s="10" t="str">
        <f t="shared" si="3"/>
        <v/>
      </c>
      <c r="W14" s="10" t="str">
        <f t="shared" si="3"/>
        <v/>
      </c>
      <c r="X14" s="10" t="str">
        <f t="shared" si="3"/>
        <v/>
      </c>
      <c r="Y14" s="10" t="str">
        <f t="shared" si="3"/>
        <v/>
      </c>
      <c r="Z14" s="10" t="str">
        <f t="shared" si="3"/>
        <v/>
      </c>
      <c r="AA14" s="10" t="str">
        <f t="shared" si="3"/>
        <v/>
      </c>
      <c r="AB14" s="10" t="str">
        <f t="shared" ref="AB14" si="4">IF(AB13="","",AA14)</f>
        <v/>
      </c>
      <c r="AC14" s="10" t="str">
        <f t="shared" ref="AC14" si="5">IF(AC13="","",AB14)</f>
        <v/>
      </c>
      <c r="AD14" s="10" t="str">
        <f t="shared" ref="AD14" si="6">IF(AD13="","",AC14)</f>
        <v/>
      </c>
      <c r="AE14" s="10" t="str">
        <f t="shared" ref="AE14" si="7">IF(AE13="","",AD14)</f>
        <v/>
      </c>
      <c r="AF14" s="10"/>
      <c r="AG14" s="18"/>
    </row>
  </sheetData>
  <mergeCells count="10">
    <mergeCell ref="C6:E6"/>
    <mergeCell ref="AB10:AB11"/>
    <mergeCell ref="C7:E7"/>
    <mergeCell ref="G1:H1"/>
    <mergeCell ref="AG13:AG14"/>
    <mergeCell ref="B1:E1"/>
    <mergeCell ref="C2:E2"/>
    <mergeCell ref="C3:E3"/>
    <mergeCell ref="C4:E4"/>
    <mergeCell ref="C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BD1F6-DB4D-42BC-9A8B-EBD1D296A84C}">
  <dimension ref="A4:X46"/>
  <sheetViews>
    <sheetView tabSelected="1" zoomScale="104" workbookViewId="0">
      <selection activeCell="O16" sqref="O15:O16"/>
    </sheetView>
  </sheetViews>
  <sheetFormatPr defaultRowHeight="15" x14ac:dyDescent="0.25"/>
  <cols>
    <col min="1" max="1" width="15.28515625" style="29" customWidth="1"/>
    <col min="2" max="2" width="13.42578125" style="29" customWidth="1"/>
    <col min="3" max="3" width="10.85546875" style="29" customWidth="1"/>
    <col min="4" max="4" width="13.5703125" style="29" customWidth="1"/>
    <col min="5" max="5" width="10.140625" style="29" bestFit="1" customWidth="1"/>
    <col min="6" max="6" width="10" style="29" bestFit="1" customWidth="1"/>
    <col min="7" max="16" width="9.140625" style="29"/>
    <col min="17" max="18" width="10" style="29" bestFit="1" customWidth="1"/>
    <col min="19" max="16384" width="9.140625" style="29"/>
  </cols>
  <sheetData>
    <row r="4" spans="1:10" x14ac:dyDescent="0.25">
      <c r="E4" s="30" t="s">
        <v>9</v>
      </c>
      <c r="F4" s="30"/>
      <c r="G4" s="30"/>
      <c r="H4" s="30"/>
      <c r="I4" s="30"/>
    </row>
    <row r="5" spans="1:10" x14ac:dyDescent="0.25">
      <c r="E5" s="30"/>
      <c r="F5" s="30"/>
      <c r="G5" s="30"/>
      <c r="H5" s="30"/>
      <c r="I5" s="30"/>
    </row>
    <row r="6" spans="1:10" ht="23.25" x14ac:dyDescent="0.35">
      <c r="E6" s="31" t="s">
        <v>49</v>
      </c>
      <c r="F6" s="31"/>
      <c r="G6" s="31"/>
      <c r="H6" s="31"/>
      <c r="I6" s="31"/>
    </row>
    <row r="7" spans="1:10" ht="15.75" thickBot="1" x14ac:dyDescent="0.3"/>
    <row r="8" spans="1:10" ht="15.75" thickBot="1" x14ac:dyDescent="0.3">
      <c r="A8" s="22" t="s">
        <v>10</v>
      </c>
      <c r="B8" s="23"/>
      <c r="C8" s="23"/>
      <c r="D8" s="24"/>
      <c r="E8" s="32">
        <f ca="1">TODAY()</f>
        <v>45377</v>
      </c>
    </row>
    <row r="9" spans="1:10" ht="15.75" thickBot="1" x14ac:dyDescent="0.3">
      <c r="A9" s="22" t="s">
        <v>52</v>
      </c>
      <c r="B9" s="23"/>
      <c r="C9" s="23"/>
      <c r="D9" s="24"/>
      <c r="E9" s="14">
        <v>50000</v>
      </c>
      <c r="F9" s="33" t="s">
        <v>53</v>
      </c>
      <c r="G9" s="33"/>
      <c r="H9" s="33"/>
      <c r="I9" s="33"/>
    </row>
    <row r="10" spans="1:10" ht="15.75" thickBot="1" x14ac:dyDescent="0.3">
      <c r="A10" s="22" t="s">
        <v>50</v>
      </c>
      <c r="B10" s="23"/>
      <c r="C10" s="23"/>
      <c r="D10" s="24"/>
      <c r="E10" s="14">
        <v>25000</v>
      </c>
      <c r="F10" s="33" t="s">
        <v>51</v>
      </c>
      <c r="G10" s="33"/>
      <c r="H10" s="33"/>
      <c r="I10" s="33"/>
      <c r="J10" s="33"/>
    </row>
    <row r="11" spans="1:10" ht="15.75" thickBot="1" x14ac:dyDescent="0.3">
      <c r="A11" s="22" t="s">
        <v>11</v>
      </c>
      <c r="B11" s="23"/>
      <c r="C11" s="23"/>
      <c r="D11" s="24"/>
      <c r="E11" s="28">
        <f>E9-E10</f>
        <v>25000</v>
      </c>
    </row>
    <row r="12" spans="1:10" ht="15.75" thickBot="1" x14ac:dyDescent="0.3">
      <c r="A12" s="22" t="s">
        <v>12</v>
      </c>
      <c r="B12" s="23"/>
      <c r="C12" s="23"/>
      <c r="D12" s="24"/>
      <c r="E12" s="15">
        <v>12</v>
      </c>
      <c r="F12" s="33" t="s">
        <v>13</v>
      </c>
      <c r="G12" s="33"/>
      <c r="H12" s="33"/>
      <c r="I12" s="33"/>
    </row>
    <row r="13" spans="1:10" ht="15.75" thickBot="1" x14ac:dyDescent="0.3">
      <c r="A13" s="25" t="s">
        <v>48</v>
      </c>
      <c r="B13" s="26"/>
      <c r="C13" s="26"/>
      <c r="D13" s="27"/>
      <c r="E13" s="34">
        <v>3.5000000000000003E-2</v>
      </c>
    </row>
    <row r="14" spans="1:10" ht="15.75" thickBot="1" x14ac:dyDescent="0.3">
      <c r="A14" s="25" t="s">
        <v>47</v>
      </c>
      <c r="B14" s="26"/>
      <c r="C14" s="26"/>
      <c r="D14" s="27"/>
      <c r="E14" s="34">
        <f>E13*E12</f>
        <v>0.42000000000000004</v>
      </c>
    </row>
    <row r="15" spans="1:10" ht="15.75" thickBot="1" x14ac:dyDescent="0.3">
      <c r="A15" s="25" t="s">
        <v>46</v>
      </c>
      <c r="B15" s="26"/>
      <c r="C15" s="26"/>
      <c r="D15" s="27"/>
      <c r="E15" s="28">
        <f>E11*E14</f>
        <v>10500.000000000002</v>
      </c>
    </row>
    <row r="16" spans="1:10" ht="15.75" thickBot="1" x14ac:dyDescent="0.3">
      <c r="A16" s="25" t="s">
        <v>14</v>
      </c>
      <c r="B16" s="26"/>
      <c r="C16" s="26"/>
      <c r="D16" s="27"/>
      <c r="E16" s="28">
        <f>(E15+E11)/E12</f>
        <v>2958.3333333333335</v>
      </c>
    </row>
    <row r="17" spans="1:24" ht="15.75" thickBot="1" x14ac:dyDescent="0.3">
      <c r="A17" s="22" t="s">
        <v>15</v>
      </c>
      <c r="B17" s="23"/>
      <c r="C17" s="23"/>
      <c r="D17" s="23"/>
      <c r="E17" s="35">
        <f>E18/365</f>
        <v>1.9250655412878875E-3</v>
      </c>
    </row>
    <row r="18" spans="1:24" ht="15.75" thickBot="1" x14ac:dyDescent="0.3">
      <c r="A18" s="22" t="s">
        <v>16</v>
      </c>
      <c r="B18" s="23"/>
      <c r="C18" s="23"/>
      <c r="D18" s="23"/>
      <c r="E18" s="36">
        <f>Лист1!H4</f>
        <v>0.70264892257007894</v>
      </c>
    </row>
    <row r="19" spans="1:24" ht="15.75" thickBot="1" x14ac:dyDescent="0.3">
      <c r="A19" s="22" t="s">
        <v>17</v>
      </c>
      <c r="B19" s="23"/>
      <c r="C19" s="23"/>
      <c r="D19" s="23"/>
      <c r="E19" s="37">
        <f ca="1">Лист1!J3-'Кредитний калькулятор'!E8</f>
        <v>365</v>
      </c>
    </row>
    <row r="20" spans="1:24" ht="15.75" thickBot="1" x14ac:dyDescent="0.3">
      <c r="A20" s="22" t="s">
        <v>19</v>
      </c>
      <c r="B20" s="23"/>
      <c r="C20" s="23"/>
      <c r="D20" s="24"/>
      <c r="E20" s="38">
        <f>Лист1!H5</f>
        <v>-2958.3333333333312</v>
      </c>
    </row>
    <row r="21" spans="1:24" ht="15.75" thickBot="1" x14ac:dyDescent="0.3">
      <c r="A21" s="22" t="s">
        <v>45</v>
      </c>
      <c r="B21" s="23"/>
      <c r="C21" s="23"/>
      <c r="D21" s="24"/>
      <c r="E21" s="39">
        <f>SUM(D32:D44)/2</f>
        <v>35587.237134864008</v>
      </c>
    </row>
    <row r="23" spans="1:24" ht="15.75" thickBot="1" x14ac:dyDescent="0.3"/>
    <row r="24" spans="1:24" ht="15.75" thickBot="1" x14ac:dyDescent="0.3">
      <c r="A24" s="40" t="s">
        <v>20</v>
      </c>
      <c r="B24" s="40" t="s">
        <v>21</v>
      </c>
      <c r="C24" s="40" t="s">
        <v>22</v>
      </c>
      <c r="D24" s="40" t="s">
        <v>23</v>
      </c>
      <c r="E24" s="41" t="s">
        <v>24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0" t="s">
        <v>25</v>
      </c>
      <c r="R24" s="40" t="s">
        <v>26</v>
      </c>
    </row>
    <row r="25" spans="1:24" ht="15.75" thickBot="1" x14ac:dyDescent="0.3">
      <c r="A25" s="44"/>
      <c r="B25" s="44"/>
      <c r="C25" s="44"/>
      <c r="D25" s="44"/>
      <c r="E25" s="40" t="s">
        <v>27</v>
      </c>
      <c r="F25" s="40" t="s">
        <v>28</v>
      </c>
      <c r="G25" s="41" t="s">
        <v>29</v>
      </c>
      <c r="H25" s="42"/>
      <c r="I25" s="42"/>
      <c r="J25" s="42"/>
      <c r="K25" s="42"/>
      <c r="L25" s="42"/>
      <c r="M25" s="42"/>
      <c r="N25" s="42"/>
      <c r="O25" s="42"/>
      <c r="P25" s="43"/>
      <c r="Q25" s="44"/>
      <c r="R25" s="44"/>
    </row>
    <row r="26" spans="1:24" ht="36" customHeight="1" thickBot="1" x14ac:dyDescent="0.3">
      <c r="A26" s="44"/>
      <c r="B26" s="44"/>
      <c r="C26" s="44"/>
      <c r="D26" s="44"/>
      <c r="E26" s="44"/>
      <c r="F26" s="44"/>
      <c r="G26" s="41" t="s">
        <v>30</v>
      </c>
      <c r="H26" s="42"/>
      <c r="I26" s="43"/>
      <c r="J26" s="41" t="s">
        <v>31</v>
      </c>
      <c r="K26" s="43"/>
      <c r="L26" s="41" t="s">
        <v>32</v>
      </c>
      <c r="M26" s="42"/>
      <c r="N26" s="42"/>
      <c r="O26" s="42"/>
      <c r="P26" s="43"/>
      <c r="Q26" s="44"/>
      <c r="R26" s="44"/>
      <c r="T26" s="45"/>
      <c r="U26" s="45"/>
      <c r="V26" s="45"/>
      <c r="W26" s="45"/>
      <c r="X26" s="45"/>
    </row>
    <row r="27" spans="1:24" ht="41.25" customHeight="1" x14ac:dyDescent="0.25">
      <c r="A27" s="44"/>
      <c r="B27" s="44"/>
      <c r="C27" s="44"/>
      <c r="D27" s="44"/>
      <c r="E27" s="44"/>
      <c r="F27" s="44"/>
      <c r="G27" s="40" t="s">
        <v>33</v>
      </c>
      <c r="H27" s="40" t="s">
        <v>34</v>
      </c>
      <c r="I27" s="40" t="s">
        <v>35</v>
      </c>
      <c r="J27" s="40" t="s">
        <v>36</v>
      </c>
      <c r="K27" s="40" t="s">
        <v>37</v>
      </c>
      <c r="L27" s="40" t="s">
        <v>38</v>
      </c>
      <c r="M27" s="40" t="s">
        <v>39</v>
      </c>
      <c r="N27" s="40" t="s">
        <v>40</v>
      </c>
      <c r="O27" s="40" t="s">
        <v>41</v>
      </c>
      <c r="P27" s="40" t="s">
        <v>42</v>
      </c>
      <c r="Q27" s="44"/>
      <c r="R27" s="44"/>
      <c r="T27" s="45"/>
      <c r="U27" s="45"/>
      <c r="V27" s="45"/>
      <c r="W27" s="45"/>
      <c r="X27" s="45"/>
    </row>
    <row r="28" spans="1:24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T28" s="45"/>
      <c r="U28" s="45"/>
      <c r="V28" s="45"/>
      <c r="W28" s="45"/>
      <c r="X28" s="45"/>
    </row>
    <row r="29" spans="1:24" ht="15.75" thickBot="1" x14ac:dyDescent="0.3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T29" s="45"/>
      <c r="U29" s="45"/>
      <c r="V29" s="45"/>
      <c r="W29" s="45"/>
      <c r="X29" s="45"/>
    </row>
    <row r="30" spans="1:24" ht="15.75" thickBot="1" x14ac:dyDescent="0.3">
      <c r="A30" s="47">
        <v>1</v>
      </c>
      <c r="B30" s="48">
        <v>2</v>
      </c>
      <c r="C30" s="48">
        <v>3</v>
      </c>
      <c r="D30" s="48">
        <v>4</v>
      </c>
      <c r="E30" s="48">
        <v>5</v>
      </c>
      <c r="F30" s="48">
        <v>6</v>
      </c>
      <c r="G30" s="48">
        <v>7</v>
      </c>
      <c r="H30" s="48">
        <v>8</v>
      </c>
      <c r="I30" s="48">
        <v>9</v>
      </c>
      <c r="J30" s="48">
        <v>10</v>
      </c>
      <c r="K30" s="48">
        <v>11</v>
      </c>
      <c r="L30" s="48">
        <v>12</v>
      </c>
      <c r="M30" s="48">
        <v>13</v>
      </c>
      <c r="N30" s="48">
        <v>14</v>
      </c>
      <c r="O30" s="48">
        <v>15</v>
      </c>
      <c r="P30" s="48">
        <v>16</v>
      </c>
      <c r="Q30" s="48">
        <v>17</v>
      </c>
      <c r="R30" s="48">
        <v>18</v>
      </c>
      <c r="T30" s="45" t="s">
        <v>44</v>
      </c>
      <c r="U30" s="45"/>
      <c r="V30" s="45"/>
      <c r="W30" s="45"/>
      <c r="X30" s="45"/>
    </row>
    <row r="31" spans="1:24" ht="15.75" thickBot="1" x14ac:dyDescent="0.3">
      <c r="A31" s="47">
        <v>1</v>
      </c>
      <c r="B31" s="49">
        <f ca="1">E8</f>
        <v>45377</v>
      </c>
      <c r="C31" s="48" t="s">
        <v>43</v>
      </c>
      <c r="D31" s="50">
        <f>E11*-1</f>
        <v>-25000</v>
      </c>
      <c r="E31" s="50">
        <f>E11</f>
        <v>25000</v>
      </c>
      <c r="F31" s="48" t="s">
        <v>43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50" t="s">
        <v>43</v>
      </c>
      <c r="R31" s="50" t="s">
        <v>43</v>
      </c>
      <c r="T31" s="45"/>
      <c r="U31" s="45"/>
      <c r="V31" s="45"/>
      <c r="W31" s="45"/>
      <c r="X31" s="45"/>
    </row>
    <row r="32" spans="1:24" ht="15.75" thickBot="1" x14ac:dyDescent="0.3">
      <c r="A32" s="47">
        <v>2</v>
      </c>
      <c r="B32" s="49">
        <f ca="1">EDATE(E8,1)</f>
        <v>45408</v>
      </c>
      <c r="C32" s="48">
        <f ca="1">B32-B31</f>
        <v>31</v>
      </c>
      <c r="D32" s="51">
        <f>E20*-1</f>
        <v>2958.3333333333312</v>
      </c>
      <c r="E32" s="50">
        <f ca="1">D32-F32</f>
        <v>1466.4075388352185</v>
      </c>
      <c r="F32" s="50">
        <f ca="1">$E$31*($E$17*C32)</f>
        <v>1491.9257944981127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50" t="s">
        <v>43</v>
      </c>
      <c r="R32" s="50" t="s">
        <v>43</v>
      </c>
      <c r="T32" s="52">
        <f ca="1">E31-E32</f>
        <v>23533.592461164782</v>
      </c>
      <c r="U32" s="45"/>
      <c r="V32" s="45"/>
      <c r="W32" s="45"/>
      <c r="X32" s="45"/>
    </row>
    <row r="33" spans="1:24" ht="15.75" thickBot="1" x14ac:dyDescent="0.3">
      <c r="A33" s="47">
        <v>3</v>
      </c>
      <c r="B33" s="49">
        <f ca="1">EDATE(B32,1)</f>
        <v>45438</v>
      </c>
      <c r="C33" s="48">
        <f ca="1">B33-B32</f>
        <v>30</v>
      </c>
      <c r="D33" s="51">
        <f>D32</f>
        <v>2958.3333333333312</v>
      </c>
      <c r="E33" s="50">
        <f t="shared" ref="E33:E34" ca="1" si="0">D33-F33</f>
        <v>1599.2220960423092</v>
      </c>
      <c r="F33" s="50">
        <f ca="1">T32*($E$17*C33)</f>
        <v>1359.111237291022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50" t="s">
        <v>43</v>
      </c>
      <c r="R33" s="50" t="s">
        <v>43</v>
      </c>
      <c r="T33" s="52">
        <f ca="1">T32-E33</f>
        <v>21934.370365122471</v>
      </c>
      <c r="U33" s="45"/>
      <c r="V33" s="45"/>
      <c r="W33" s="45"/>
      <c r="X33" s="45"/>
    </row>
    <row r="34" spans="1:24" ht="15.75" thickBot="1" x14ac:dyDescent="0.3">
      <c r="A34" s="47">
        <v>4</v>
      </c>
      <c r="B34" s="49">
        <f t="shared" ref="B34" ca="1" si="1">EDATE(B33,1)</f>
        <v>45469</v>
      </c>
      <c r="C34" s="48">
        <f t="shared" ref="C34" ca="1" si="2">B34-B33</f>
        <v>31</v>
      </c>
      <c r="D34" s="51">
        <f>IF(E12=3,D33*V34,D33)</f>
        <v>2958.3333333333312</v>
      </c>
      <c r="E34" s="50">
        <f t="shared" ca="1" si="0"/>
        <v>1649.355215981283</v>
      </c>
      <c r="F34" s="50">
        <f t="shared" ref="F34" ca="1" si="3">T33*($E$17*C34)</f>
        <v>1308.9781173520482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50" t="s">
        <v>43</v>
      </c>
      <c r="R34" s="50" t="s">
        <v>43</v>
      </c>
      <c r="T34" s="52">
        <f t="shared" ref="T34:T43" ca="1" si="4">T33-E34</f>
        <v>20285.015149141189</v>
      </c>
      <c r="U34" s="45">
        <f ca="1">T34/D33+1</f>
        <v>7.8569065292871674</v>
      </c>
      <c r="V34" s="45">
        <v>1.0025344453260918</v>
      </c>
      <c r="W34" s="45"/>
      <c r="X34" s="45"/>
    </row>
    <row r="35" spans="1:24" ht="15.75" thickBot="1" x14ac:dyDescent="0.3">
      <c r="A35" s="47">
        <f>IF(E12=3,"Усього",5)</f>
        <v>5</v>
      </c>
      <c r="B35" s="49">
        <f ca="1">IF(E12=3,"Х",EDATE(B34,1))</f>
        <v>45499</v>
      </c>
      <c r="C35" s="48">
        <f ca="1">IF(E12=3,SUM(C32:C34),B35-B34)</f>
        <v>30</v>
      </c>
      <c r="D35" s="51">
        <f>IF(E12=3,SUM(D32:D34),D34)</f>
        <v>2958.3333333333312</v>
      </c>
      <c r="E35" s="50">
        <f ca="1">IF(E12=3,SUM(E32:E34),D35-F35)</f>
        <v>1786.8338232898968</v>
      </c>
      <c r="F35" s="50">
        <f ca="1">IF(E12=3,SUM(F32:F34),T34*($E$17*C35))</f>
        <v>1171.4995100434344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50" t="str">
        <f>IF(E12=3,E18*100,"Х")</f>
        <v>Х</v>
      </c>
      <c r="R35" s="50" t="str">
        <f>IF(E12=3,D35,"Х")</f>
        <v>Х</v>
      </c>
      <c r="T35" s="52">
        <f t="shared" ca="1" si="4"/>
        <v>18498.181325851292</v>
      </c>
      <c r="U35" s="45"/>
      <c r="V35" s="45"/>
      <c r="W35" s="45"/>
      <c r="X35" s="45"/>
    </row>
    <row r="36" spans="1:24" ht="15.75" thickBot="1" x14ac:dyDescent="0.3">
      <c r="A36" s="47">
        <f>IF(E12=3,"",6)</f>
        <v>6</v>
      </c>
      <c r="B36" s="49">
        <f ca="1">IF(E12=3,"",EDATE(B35,1))</f>
        <v>45530</v>
      </c>
      <c r="C36" s="48">
        <f ca="1">IF(E12=3,"",B36-B35)</f>
        <v>31</v>
      </c>
      <c r="D36" s="51">
        <f>IF(E12=3,"",D35)</f>
        <v>2958.3333333333312</v>
      </c>
      <c r="E36" s="50">
        <f ca="1">IF(E12=3,"",D36-F36)</f>
        <v>1854.4167784796975</v>
      </c>
      <c r="F36" s="50">
        <f ca="1">IF(E12=3,"",T35*($E$17*C36))</f>
        <v>1103.9165548536337</v>
      </c>
      <c r="G36" s="48">
        <f>IF($E$12=3,"",0)</f>
        <v>0</v>
      </c>
      <c r="H36" s="48">
        <f t="shared" ref="H36:P36" si="5">IF($E$12=3,"",0)</f>
        <v>0</v>
      </c>
      <c r="I36" s="48">
        <f t="shared" si="5"/>
        <v>0</v>
      </c>
      <c r="J36" s="48">
        <f t="shared" si="5"/>
        <v>0</v>
      </c>
      <c r="K36" s="48">
        <f t="shared" si="5"/>
        <v>0</v>
      </c>
      <c r="L36" s="48">
        <f t="shared" si="5"/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>
        <f t="shared" si="5"/>
        <v>0</v>
      </c>
      <c r="Q36" s="50" t="str">
        <f>IF($E$12=3,"","Х")</f>
        <v>Х</v>
      </c>
      <c r="R36" s="50" t="str">
        <f>IF($E$12=3,"","Х")</f>
        <v>Х</v>
      </c>
      <c r="T36" s="52">
        <f t="shared" ca="1" si="4"/>
        <v>16643.764547371593</v>
      </c>
      <c r="U36" s="45"/>
      <c r="V36" s="45"/>
      <c r="W36" s="45"/>
      <c r="X36" s="45"/>
    </row>
    <row r="37" spans="1:24" ht="15.75" thickBot="1" x14ac:dyDescent="0.3">
      <c r="A37" s="47">
        <f>IF(E12=3,"",7)</f>
        <v>7</v>
      </c>
      <c r="B37" s="49">
        <f ca="1">IF(E12=3,"",EDATE(B36,1))</f>
        <v>45561</v>
      </c>
      <c r="C37" s="48">
        <f ca="1">IF(E12=3,"",B37-B36)</f>
        <v>31</v>
      </c>
      <c r="D37" s="51">
        <f>IF(E12=6,D36*V37,D36)</f>
        <v>2958.3333333333312</v>
      </c>
      <c r="E37" s="50">
        <f ca="1">IF(E12=3,"",D37-F37)</f>
        <v>1965.0828675022558</v>
      </c>
      <c r="F37" s="50">
        <f ca="1">IF(E12=3,"",T36*($E$17*C37))</f>
        <v>993.25046583107542</v>
      </c>
      <c r="G37" s="48">
        <f t="shared" ref="G37:P38" si="6">IF($E$12=3,"",0)</f>
        <v>0</v>
      </c>
      <c r="H37" s="48">
        <f t="shared" si="6"/>
        <v>0</v>
      </c>
      <c r="I37" s="48">
        <f t="shared" si="6"/>
        <v>0</v>
      </c>
      <c r="J37" s="48">
        <f t="shared" si="6"/>
        <v>0</v>
      </c>
      <c r="K37" s="48">
        <f t="shared" si="6"/>
        <v>0</v>
      </c>
      <c r="L37" s="48">
        <f t="shared" si="6"/>
        <v>0</v>
      </c>
      <c r="M37" s="48">
        <f t="shared" si="6"/>
        <v>0</v>
      </c>
      <c r="N37" s="48">
        <f t="shared" si="6"/>
        <v>0</v>
      </c>
      <c r="O37" s="48">
        <f t="shared" si="6"/>
        <v>0</v>
      </c>
      <c r="P37" s="48">
        <f t="shared" si="6"/>
        <v>0</v>
      </c>
      <c r="Q37" s="50" t="str">
        <f t="shared" ref="Q37:R37" si="7">IF($E$12=3,"","Х")</f>
        <v>Х</v>
      </c>
      <c r="R37" s="50" t="str">
        <f t="shared" si="7"/>
        <v>Х</v>
      </c>
      <c r="T37" s="52">
        <f t="shared" ca="1" si="4"/>
        <v>14678.681679869336</v>
      </c>
      <c r="U37" s="45">
        <f ca="1">T37/D36+1</f>
        <v>5.9618078917868216</v>
      </c>
      <c r="V37" s="45">
        <v>1.0083986862346266</v>
      </c>
      <c r="W37" s="45"/>
      <c r="X37" s="45"/>
    </row>
    <row r="38" spans="1:24" ht="15.75" thickBot="1" x14ac:dyDescent="0.3">
      <c r="A38" s="47">
        <f>IF(E12=3,"",IF(E12=12,8,IF(E12=9,8,"Усього")))</f>
        <v>8</v>
      </c>
      <c r="B38" s="49">
        <f ca="1">IF(E12=3,"",IF(E12=12,EDATE(B37,1),IF(E12=9,EDATE(B37,1),"Х")))</f>
        <v>45591</v>
      </c>
      <c r="C38" s="48">
        <f ca="1">IF(E12=3,"",IF(E12=12,B38-B37,IF(E12=9,B38-B37,SUM(C32:C37))))</f>
        <v>30</v>
      </c>
      <c r="D38" s="51">
        <f>IF(E12=3,"",IF(E12=12,D37,IF(E12=9,D37,SUM(D32:D37))))</f>
        <v>2958.3333333333312</v>
      </c>
      <c r="E38" s="50">
        <f ca="1">IF(E12=3,"",IF(E12=12,D38-F38,IF(E12=9,D38-F38,SUM(E32:E37))))</f>
        <v>2110.6106045298234</v>
      </c>
      <c r="F38" s="50">
        <f ca="1">IF(E12=3,"",IF(E12=12,T37*($E$17*C38),IF(E12=9,T37*($E$17*C38),SUM(F32:F37))))</f>
        <v>847.72272880350783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f t="shared" si="6"/>
        <v>0</v>
      </c>
      <c r="K38" s="48">
        <f t="shared" si="6"/>
        <v>0</v>
      </c>
      <c r="L38" s="48">
        <f t="shared" si="6"/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50" t="str">
        <f>IF(E12=6,E18*100,IF($E$12=3,"","Х"))</f>
        <v>Х</v>
      </c>
      <c r="R38" s="50" t="str">
        <f>IF(E12=6,D38,IF($E$12=3,"","Х"))</f>
        <v>Х</v>
      </c>
      <c r="T38" s="52">
        <f t="shared" ca="1" si="4"/>
        <v>12568.071075339512</v>
      </c>
      <c r="U38" s="45"/>
      <c r="V38" s="45"/>
      <c r="W38" s="45"/>
      <c r="X38" s="45"/>
    </row>
    <row r="39" spans="1:24" ht="15.75" thickBot="1" x14ac:dyDescent="0.3">
      <c r="A39" s="47">
        <f>IF(E12=12,9,IF(E12=9,9,""))</f>
        <v>9</v>
      </c>
      <c r="B39" s="49">
        <f ca="1">IF(E12=12,EDATE(B38,1),IF(E12=9,EDATE(B38,1),""))</f>
        <v>45622</v>
      </c>
      <c r="C39" s="48">
        <f ca="1">IF(E12=12,B39-B38,IF(E12=9,B39-B38,""))</f>
        <v>31</v>
      </c>
      <c r="D39" s="51">
        <f>IF(E12=12,D38,IF(E12=9,D38,""))</f>
        <v>2958.3333333333312</v>
      </c>
      <c r="E39" s="50">
        <f ca="1">IF(E12=12,D39-F39,IF(E12=9,D39-F39,""))</f>
        <v>2208.3081563579453</v>
      </c>
      <c r="F39" s="50">
        <f ca="1">IF(E12=12,T38*($E$17*C39),IF(E12=9,T38*($E$17*C39),""))</f>
        <v>750.0251769753861</v>
      </c>
      <c r="G39" s="48">
        <f>IF($E$12=12,0,IF($E$12=9,0,""))</f>
        <v>0</v>
      </c>
      <c r="H39" s="48">
        <f t="shared" ref="H39:P41" si="8">IF($E$12=12,0,IF($E$12=9,0,""))</f>
        <v>0</v>
      </c>
      <c r="I39" s="48">
        <f t="shared" si="8"/>
        <v>0</v>
      </c>
      <c r="J39" s="48">
        <f t="shared" si="8"/>
        <v>0</v>
      </c>
      <c r="K39" s="48">
        <f t="shared" si="8"/>
        <v>0</v>
      </c>
      <c r="L39" s="48">
        <f t="shared" si="8"/>
        <v>0</v>
      </c>
      <c r="M39" s="48">
        <f t="shared" si="8"/>
        <v>0</v>
      </c>
      <c r="N39" s="48">
        <f t="shared" si="8"/>
        <v>0</v>
      </c>
      <c r="O39" s="48">
        <f t="shared" si="8"/>
        <v>0</v>
      </c>
      <c r="P39" s="48">
        <f t="shared" si="8"/>
        <v>0</v>
      </c>
      <c r="Q39" s="50" t="str">
        <f>IF($E$12=12,"Х",IF($E$12=9,"Х",""))</f>
        <v>Х</v>
      </c>
      <c r="R39" s="50" t="str">
        <f>IF($E$12=12,"Х",IF($E$12=9,"Х",""))</f>
        <v>Х</v>
      </c>
      <c r="T39" s="52">
        <f t="shared" ca="1" si="4"/>
        <v>10359.762918981567</v>
      </c>
      <c r="U39" s="45"/>
      <c r="V39" s="45"/>
      <c r="W39" s="45"/>
      <c r="X39" s="45"/>
    </row>
    <row r="40" spans="1:24" ht="15.75" thickBot="1" x14ac:dyDescent="0.3">
      <c r="A40" s="47">
        <f>IF(E12=12,10,IF(E12=9,10,""))</f>
        <v>10</v>
      </c>
      <c r="B40" s="49">
        <f ca="1">IF(E12=12,EDATE(B39,1),IF(E12=9,EDATE(B39,1),""))</f>
        <v>45652</v>
      </c>
      <c r="C40" s="48">
        <f ca="1">IF(E12=12,B40-B39,IF(E12=9,B40-B39,""))</f>
        <v>30</v>
      </c>
      <c r="D40" s="51">
        <f>IF(E12=9,D39*V40,D39)</f>
        <v>2958.3333333333312</v>
      </c>
      <c r="E40" s="50">
        <f ca="1">IF(E12=12,D40-F40,IF(E12=9,D40-F40,""))</f>
        <v>2360.0366549960281</v>
      </c>
      <c r="F40" s="50">
        <f ca="1">IF(E12=12,T39*($E$17*C40),IF(E12=9,T39*($E$17*C40),""))</f>
        <v>598.29667833730309</v>
      </c>
      <c r="G40" s="48">
        <f t="shared" ref="G40:G41" si="9">IF($E$12=12,0,IF($E$12=9,0,""))</f>
        <v>0</v>
      </c>
      <c r="H40" s="48">
        <f t="shared" si="8"/>
        <v>0</v>
      </c>
      <c r="I40" s="48">
        <f t="shared" si="8"/>
        <v>0</v>
      </c>
      <c r="J40" s="48">
        <f t="shared" si="8"/>
        <v>0</v>
      </c>
      <c r="K40" s="48">
        <f t="shared" si="8"/>
        <v>0</v>
      </c>
      <c r="L40" s="48">
        <f t="shared" si="8"/>
        <v>0</v>
      </c>
      <c r="M40" s="48">
        <f t="shared" si="8"/>
        <v>0</v>
      </c>
      <c r="N40" s="48">
        <f t="shared" si="8"/>
        <v>0</v>
      </c>
      <c r="O40" s="48">
        <f t="shared" si="8"/>
        <v>0</v>
      </c>
      <c r="P40" s="48">
        <f t="shared" si="8"/>
        <v>0</v>
      </c>
      <c r="Q40" s="50" t="str">
        <f>IF($E$12=12,"Х",IF($E$12=9,"Х",""))</f>
        <v>Х</v>
      </c>
      <c r="R40" s="50" t="str">
        <f>IF($E$12=12,"Х",IF($E$12=9,"Х",""))</f>
        <v>Х</v>
      </c>
      <c r="T40" s="52">
        <f t="shared" ca="1" si="4"/>
        <v>7999.7262639855389</v>
      </c>
      <c r="U40" s="45">
        <f ca="1">T40/D39+1</f>
        <v>3.7041328216289164</v>
      </c>
      <c r="V40" s="45">
        <v>1.0178717867443745</v>
      </c>
      <c r="W40" s="45"/>
      <c r="X40" s="45"/>
    </row>
    <row r="41" spans="1:24" ht="15.75" thickBot="1" x14ac:dyDescent="0.3">
      <c r="A41" s="47">
        <f>IF(E12=12,11,IF(E12=9,"Усього",""))</f>
        <v>11</v>
      </c>
      <c r="B41" s="49">
        <f ca="1">IF(E12=12,EDATE(B40,1),IF(E12=9,"Х",""))</f>
        <v>45683</v>
      </c>
      <c r="C41" s="48">
        <f ca="1">IF(E12=12,B41-B40,IF(E12=9,SUM(C32:C40),""))</f>
        <v>31</v>
      </c>
      <c r="D41" s="51">
        <f>IF(E12=12,D40,IF(E12=9,SUM(D32:D40),""))</f>
        <v>2958.3333333333312</v>
      </c>
      <c r="E41" s="50">
        <f ca="1">IF(E12=12,D41-F41,IF(E12=9,SUM(E32:E40),""))</f>
        <v>2480.9334148467697</v>
      </c>
      <c r="F41" s="50">
        <f ca="1">IF(E12=12,T40*($E$17*C41),IF(E12=9,SUM(F32:F40),""))</f>
        <v>477.39991848656177</v>
      </c>
      <c r="G41" s="48">
        <f t="shared" si="9"/>
        <v>0</v>
      </c>
      <c r="H41" s="48">
        <f t="shared" si="8"/>
        <v>0</v>
      </c>
      <c r="I41" s="48">
        <f t="shared" si="8"/>
        <v>0</v>
      </c>
      <c r="J41" s="48">
        <f t="shared" si="8"/>
        <v>0</v>
      </c>
      <c r="K41" s="48">
        <f t="shared" si="8"/>
        <v>0</v>
      </c>
      <c r="L41" s="48">
        <f t="shared" si="8"/>
        <v>0</v>
      </c>
      <c r="M41" s="48">
        <f t="shared" si="8"/>
        <v>0</v>
      </c>
      <c r="N41" s="48">
        <f t="shared" si="8"/>
        <v>0</v>
      </c>
      <c r="O41" s="48">
        <f t="shared" si="8"/>
        <v>0</v>
      </c>
      <c r="P41" s="48">
        <f t="shared" si="8"/>
        <v>0</v>
      </c>
      <c r="Q41" s="50" t="str">
        <f>IF(E12=3,"",IF(E12=6,"",IF(E12=12,"Х",E18*100)))</f>
        <v>Х</v>
      </c>
      <c r="R41" s="50" t="str">
        <f>IF(E12=12,"Х",D41)</f>
        <v>Х</v>
      </c>
      <c r="T41" s="52">
        <f t="shared" ca="1" si="4"/>
        <v>5518.7928491387693</v>
      </c>
      <c r="U41" s="45"/>
      <c r="V41" s="45"/>
      <c r="W41" s="45"/>
      <c r="X41" s="45"/>
    </row>
    <row r="42" spans="1:24" ht="15.75" thickBot="1" x14ac:dyDescent="0.3">
      <c r="A42" s="47">
        <f>IF(E12=12,12,"")</f>
        <v>12</v>
      </c>
      <c r="B42" s="49">
        <f ca="1">IF(E12=12,EDATE(B41,1),"")</f>
        <v>45714</v>
      </c>
      <c r="C42" s="48">
        <f ca="1">IF(E12=12,B42-B41,"")</f>
        <v>31</v>
      </c>
      <c r="D42" s="51">
        <f>IF(E12=12,D41,"")</f>
        <v>2958.3333333333312</v>
      </c>
      <c r="E42" s="50">
        <f ca="1">IF(E12=12,D42-F42,"")</f>
        <v>2628.9881570884568</v>
      </c>
      <c r="F42" s="50">
        <f ca="1">IF(E12=12,T41*($E$17*C42),"")</f>
        <v>329.34517624487449</v>
      </c>
      <c r="G42" s="48">
        <f t="shared" ref="G42:G44" si="10">IF($E$12=12,0,"")</f>
        <v>0</v>
      </c>
      <c r="H42" s="48">
        <f t="shared" ref="H42:P44" si="11">IF($E$12=12,0,"")</f>
        <v>0</v>
      </c>
      <c r="I42" s="48">
        <f t="shared" si="11"/>
        <v>0</v>
      </c>
      <c r="J42" s="48">
        <f t="shared" si="11"/>
        <v>0</v>
      </c>
      <c r="K42" s="48">
        <f t="shared" si="11"/>
        <v>0</v>
      </c>
      <c r="L42" s="48">
        <f t="shared" si="11"/>
        <v>0</v>
      </c>
      <c r="M42" s="48">
        <f t="shared" si="11"/>
        <v>0</v>
      </c>
      <c r="N42" s="48">
        <f t="shared" si="11"/>
        <v>0</v>
      </c>
      <c r="O42" s="48">
        <f t="shared" si="11"/>
        <v>0</v>
      </c>
      <c r="P42" s="48">
        <f t="shared" si="11"/>
        <v>0</v>
      </c>
      <c r="Q42" s="50" t="str">
        <f>IF($E$12=12,"Х","")</f>
        <v>Х</v>
      </c>
      <c r="R42" s="50" t="str">
        <f>IF($E$12=12,"Х","")</f>
        <v>Х</v>
      </c>
      <c r="T42" s="52">
        <f t="shared" ca="1" si="4"/>
        <v>2889.8046920503125</v>
      </c>
      <c r="U42" s="45"/>
      <c r="V42" s="45"/>
      <c r="W42" s="45"/>
      <c r="X42" s="45"/>
    </row>
    <row r="43" spans="1:24" ht="15.75" thickBot="1" x14ac:dyDescent="0.3">
      <c r="A43" s="47">
        <f>IF(E12=12,13,"")</f>
        <v>13</v>
      </c>
      <c r="B43" s="49">
        <f ca="1">IF(E12=12,EDATE(B42,1),"")</f>
        <v>45742</v>
      </c>
      <c r="C43" s="48">
        <f ca="1">IF(E12=12,B43-B42,"")</f>
        <v>28</v>
      </c>
      <c r="D43" s="51">
        <f>IF(E12=12,D42*V43,"")</f>
        <v>3045.5704681973552</v>
      </c>
      <c r="E43" s="50">
        <f ca="1">IF(E12=12,D43-F43,"")</f>
        <v>2889.8046920532479</v>
      </c>
      <c r="F43" s="50">
        <f ca="1">IF(E12=12,T42*($E$17*C43),"")</f>
        <v>155.76577614410712</v>
      </c>
      <c r="G43" s="48">
        <f t="shared" si="10"/>
        <v>0</v>
      </c>
      <c r="H43" s="48">
        <f t="shared" si="11"/>
        <v>0</v>
      </c>
      <c r="I43" s="48">
        <f t="shared" si="11"/>
        <v>0</v>
      </c>
      <c r="J43" s="48">
        <f t="shared" si="11"/>
        <v>0</v>
      </c>
      <c r="K43" s="48">
        <f t="shared" si="11"/>
        <v>0</v>
      </c>
      <c r="L43" s="48">
        <f t="shared" si="11"/>
        <v>0</v>
      </c>
      <c r="M43" s="48">
        <f t="shared" si="11"/>
        <v>0</v>
      </c>
      <c r="N43" s="48">
        <f t="shared" si="11"/>
        <v>0</v>
      </c>
      <c r="O43" s="48">
        <f t="shared" si="11"/>
        <v>0</v>
      </c>
      <c r="P43" s="48">
        <f t="shared" si="11"/>
        <v>0</v>
      </c>
      <c r="Q43" s="50" t="str">
        <f>IF($E$12=12,"Х","")</f>
        <v>Х</v>
      </c>
      <c r="R43" s="50" t="str">
        <f>IF($E$12=12,"Х","")</f>
        <v>Х</v>
      </c>
      <c r="T43" s="52">
        <f t="shared" ca="1" si="4"/>
        <v>-2.9353941499721259E-9</v>
      </c>
      <c r="U43" s="45">
        <f ca="1">T43/D42+1</f>
        <v>0.99999999999900779</v>
      </c>
      <c r="V43" s="45">
        <v>1.0294886089681208</v>
      </c>
      <c r="W43" s="45"/>
      <c r="X43" s="45"/>
    </row>
    <row r="44" spans="1:24" ht="15.75" thickBot="1" x14ac:dyDescent="0.3">
      <c r="A44" s="47" t="str">
        <f>IF(E12=12,"Усього","")</f>
        <v>Усього</v>
      </c>
      <c r="B44" s="48" t="str">
        <f>IF(E12=12,"Х","")</f>
        <v>Х</v>
      </c>
      <c r="C44" s="48">
        <f ca="1">IF(E12=12,SUM(C32:C43),"")</f>
        <v>365</v>
      </c>
      <c r="D44" s="51">
        <f>IF(E12=12,SUM(D32:D43),"")</f>
        <v>35587.237134864008</v>
      </c>
      <c r="E44" s="50">
        <f ca="1">IF(E12=12,SUM(E32:E43),"")</f>
        <v>25000.000000002932</v>
      </c>
      <c r="F44" s="50">
        <f ca="1">IF(E12=12,SUM(F32:F43),"")</f>
        <v>10587.23713486107</v>
      </c>
      <c r="G44" s="48">
        <f t="shared" si="10"/>
        <v>0</v>
      </c>
      <c r="H44" s="48">
        <f t="shared" si="11"/>
        <v>0</v>
      </c>
      <c r="I44" s="48">
        <f t="shared" si="11"/>
        <v>0</v>
      </c>
      <c r="J44" s="48">
        <f t="shared" si="11"/>
        <v>0</v>
      </c>
      <c r="K44" s="48">
        <f t="shared" si="11"/>
        <v>0</v>
      </c>
      <c r="L44" s="48">
        <f t="shared" si="11"/>
        <v>0</v>
      </c>
      <c r="M44" s="48">
        <f t="shared" si="11"/>
        <v>0</v>
      </c>
      <c r="N44" s="48">
        <f t="shared" si="11"/>
        <v>0</v>
      </c>
      <c r="O44" s="48">
        <f t="shared" si="11"/>
        <v>0</v>
      </c>
      <c r="P44" s="48">
        <f t="shared" si="11"/>
        <v>0</v>
      </c>
      <c r="Q44" s="50">
        <f>IF(E12=12,E18*100,"")</f>
        <v>70.264892257007887</v>
      </c>
      <c r="R44" s="50">
        <f>D44</f>
        <v>35587.237134864008</v>
      </c>
      <c r="T44" s="45"/>
      <c r="U44" s="45"/>
      <c r="V44" s="45"/>
      <c r="W44" s="45"/>
      <c r="X44" s="45"/>
    </row>
    <row r="46" spans="1:24" x14ac:dyDescent="0.25">
      <c r="E46" s="28"/>
    </row>
  </sheetData>
  <sheetProtection algorithmName="SHA-512" hashValue="lLOEeVcx5PkTsL3lLePvFiqaYHiV0aOb5tKA9UhgLZ/Wizk4OvghZb8TfNv5QV2rd5c7uePPPpz5mqjCaXOA1A==" saltValue="NknIooSwPFlGOYJSGobDXA==" spinCount="100000" sheet="1" objects="1" scenarios="1"/>
  <mergeCells count="42">
    <mergeCell ref="M27:M29"/>
    <mergeCell ref="E24:P24"/>
    <mergeCell ref="Q24:Q29"/>
    <mergeCell ref="R24:R29"/>
    <mergeCell ref="E25:E29"/>
    <mergeCell ref="F25:F29"/>
    <mergeCell ref="G25:P25"/>
    <mergeCell ref="G26:I26"/>
    <mergeCell ref="J26:K26"/>
    <mergeCell ref="L26:P26"/>
    <mergeCell ref="G27:G29"/>
    <mergeCell ref="N27:N29"/>
    <mergeCell ref="O27:O29"/>
    <mergeCell ref="P27:P29"/>
    <mergeCell ref="H27:H29"/>
    <mergeCell ref="I27:I29"/>
    <mergeCell ref="J27:J29"/>
    <mergeCell ref="K27:K29"/>
    <mergeCell ref="L27:L29"/>
    <mergeCell ref="A19:D19"/>
    <mergeCell ref="A20:D20"/>
    <mergeCell ref="A21:D21"/>
    <mergeCell ref="A24:A29"/>
    <mergeCell ref="B24:B29"/>
    <mergeCell ref="C24:C29"/>
    <mergeCell ref="D24:D29"/>
    <mergeCell ref="F10:J10"/>
    <mergeCell ref="A18:D18"/>
    <mergeCell ref="E4:I5"/>
    <mergeCell ref="E6:I6"/>
    <mergeCell ref="A8:D8"/>
    <mergeCell ref="A11:D11"/>
    <mergeCell ref="A12:D12"/>
    <mergeCell ref="F12:I12"/>
    <mergeCell ref="A13:D13"/>
    <mergeCell ref="A14:D14"/>
    <mergeCell ref="A15:D15"/>
    <mergeCell ref="A16:D16"/>
    <mergeCell ref="A17:D17"/>
    <mergeCell ref="A9:D9"/>
    <mergeCell ref="F9:I9"/>
    <mergeCell ref="A10:D10"/>
  </mergeCells>
  <dataValidations count="1">
    <dataValidation type="list" allowBlank="1" showInputMessage="1" showErrorMessage="1" sqref="E12" xr:uid="{3AF17415-1355-463E-99ED-9FBD9BD4459A}">
      <formula1>"3,6,9,12"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Кредитний калькулятор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Сергій Поліщук</cp:lastModifiedBy>
  <dcterms:created xsi:type="dcterms:W3CDTF">2015-06-05T18:19:34Z</dcterms:created>
  <dcterms:modified xsi:type="dcterms:W3CDTF">2024-03-26T09:23:07Z</dcterms:modified>
</cp:coreProperties>
</file>